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lo_logistica\TERRE_fornitura inerti\file per pubblicazione gara\File definitivi NO REV\File PDF\"/>
    </mc:Choice>
  </mc:AlternateContent>
  <xr:revisionPtr revIDLastSave="0" documentId="13_ncr:1_{156DF2B6-2BB1-4C86-8114-8A29B4F4120B}" xr6:coauthVersionLast="33" xr6:coauthVersionMax="33" xr10:uidLastSave="{00000000-0000-0000-0000-000000000000}"/>
  <bookViews>
    <workbookView xWindow="0" yWindow="0" windowWidth="23040" windowHeight="8232" xr2:uid="{00000000-000D-0000-FFFF-FFFF00000000}"/>
  </bookViews>
  <sheets>
    <sheet name="LOTTO1" sheetId="1" r:id="rId1"/>
    <sheet name="LOTTO2" sheetId="5" r:id="rId2"/>
    <sheet name="Foglio3" sheetId="3" r:id="rId3"/>
  </sheets>
  <calcPr calcId="179017"/>
</workbook>
</file>

<file path=xl/calcChain.xml><?xml version="1.0" encoding="utf-8"?>
<calcChain xmlns="http://schemas.openxmlformats.org/spreadsheetml/2006/main">
  <c r="C27" i="5" l="1"/>
  <c r="C26" i="5"/>
  <c r="C25" i="5"/>
  <c r="C24" i="5"/>
  <c r="O9" i="5"/>
  <c r="N9" i="5"/>
  <c r="M9" i="5"/>
  <c r="L9" i="5"/>
  <c r="K9" i="5"/>
  <c r="J9" i="5"/>
  <c r="I9" i="5"/>
  <c r="H10" i="5"/>
  <c r="H9" i="5"/>
  <c r="G9" i="5"/>
  <c r="F9" i="5"/>
  <c r="K8" i="5"/>
  <c r="J8" i="5"/>
  <c r="I8" i="5"/>
  <c r="G8" i="5"/>
  <c r="R7" i="5"/>
  <c r="Q7" i="5"/>
  <c r="P7" i="5"/>
  <c r="O7" i="5"/>
  <c r="N7" i="5"/>
  <c r="M7" i="5"/>
  <c r="J7" i="5"/>
  <c r="I7" i="5"/>
  <c r="H7" i="5"/>
  <c r="G7" i="5"/>
  <c r="F7" i="5"/>
  <c r="F19" i="1"/>
  <c r="F16" i="1"/>
  <c r="C29" i="1"/>
  <c r="C28" i="1"/>
  <c r="C27" i="1"/>
  <c r="C26" i="1"/>
  <c r="O11" i="1" l="1"/>
  <c r="N11" i="1"/>
  <c r="M11" i="1"/>
  <c r="L11" i="1"/>
  <c r="K11" i="1"/>
  <c r="J11" i="1"/>
  <c r="I11" i="1"/>
  <c r="H11" i="1"/>
  <c r="G11" i="1"/>
  <c r="F11" i="1"/>
  <c r="K10" i="1"/>
  <c r="J10" i="1"/>
  <c r="I10" i="1"/>
  <c r="G10" i="1"/>
  <c r="R9" i="1"/>
  <c r="Q9" i="1"/>
  <c r="P9" i="1"/>
  <c r="O9" i="1"/>
  <c r="N9" i="1"/>
  <c r="M9" i="1"/>
  <c r="J9" i="1"/>
  <c r="I9" i="1"/>
  <c r="H9" i="1"/>
  <c r="G9" i="1"/>
  <c r="F9" i="1"/>
  <c r="H12" i="1" l="1"/>
  <c r="G12" i="1"/>
  <c r="F12" i="1"/>
  <c r="F17" i="5" l="1"/>
  <c r="R10" i="5"/>
  <c r="R14" i="5" s="1"/>
  <c r="Q10" i="5"/>
  <c r="Q14" i="5" s="1"/>
  <c r="P10" i="5"/>
  <c r="P14" i="5" s="1"/>
  <c r="O10" i="5"/>
  <c r="O14" i="5" s="1"/>
  <c r="N10" i="5"/>
  <c r="N14" i="5" s="1"/>
  <c r="M10" i="5"/>
  <c r="M14" i="5" s="1"/>
  <c r="L10" i="5"/>
  <c r="L14" i="5" s="1"/>
  <c r="K10" i="5"/>
  <c r="K14" i="5" s="1"/>
  <c r="J10" i="5"/>
  <c r="J14" i="5" s="1"/>
  <c r="I10" i="5"/>
  <c r="I14" i="5" s="1"/>
  <c r="H14" i="5"/>
  <c r="G10" i="5"/>
  <c r="G14" i="5" s="1"/>
  <c r="F10" i="5"/>
  <c r="S9" i="5"/>
  <c r="S8" i="5"/>
  <c r="S7" i="5"/>
  <c r="F14" i="5" l="1"/>
  <c r="S10" i="5"/>
  <c r="G16" i="1"/>
  <c r="H16" i="1"/>
  <c r="I12" i="1"/>
  <c r="J12" i="1"/>
  <c r="J16" i="1" s="1"/>
  <c r="K12" i="1"/>
  <c r="K16" i="1" s="1"/>
  <c r="L12" i="1"/>
  <c r="L16" i="1" s="1"/>
  <c r="M12" i="1"/>
  <c r="M16" i="1" s="1"/>
  <c r="N12" i="1"/>
  <c r="N16" i="1" s="1"/>
  <c r="O12" i="1"/>
  <c r="O16" i="1" s="1"/>
  <c r="P12" i="1"/>
  <c r="P16" i="1" s="1"/>
  <c r="Q12" i="1"/>
  <c r="Q16" i="1" s="1"/>
  <c r="R12" i="1"/>
  <c r="R16" i="1" s="1"/>
  <c r="S10" i="1"/>
  <c r="S11" i="1"/>
  <c r="S9" i="1"/>
  <c r="I16" i="1" l="1"/>
  <c r="S12" i="1"/>
</calcChain>
</file>

<file path=xl/sharedStrings.xml><?xml version="1.0" encoding="utf-8"?>
<sst xmlns="http://schemas.openxmlformats.org/spreadsheetml/2006/main" count="74" uniqueCount="35">
  <si>
    <t xml:space="preserve">LOTTO 1 </t>
  </si>
  <si>
    <t>GG MESE</t>
  </si>
  <si>
    <t>GG LAVORATIVI</t>
  </si>
  <si>
    <t>A-Materiale da cava 30-100 mm</t>
  </si>
  <si>
    <t>B-Tout-venant di cava 10-100 mm</t>
  </si>
  <si>
    <t>D-Pietrame di cava da 5 a 50 kg</t>
  </si>
  <si>
    <t>TOTALE</t>
  </si>
  <si>
    <t>mese 1</t>
  </si>
  <si>
    <t>mese 2</t>
  </si>
  <si>
    <t>mese 3</t>
  </si>
  <si>
    <t>mese 4</t>
  </si>
  <si>
    <t>mese 5</t>
  </si>
  <si>
    <t>mese 6</t>
  </si>
  <si>
    <t>mese 7</t>
  </si>
  <si>
    <t>mese 8</t>
  </si>
  <si>
    <t>mese 9</t>
  </si>
  <si>
    <t>mese 10</t>
  </si>
  <si>
    <t>mese 11</t>
  </si>
  <si>
    <t>mese 12</t>
  </si>
  <si>
    <t>mese 13</t>
  </si>
  <si>
    <t>mese 14</t>
  </si>
  <si>
    <t>mese 15</t>
  </si>
  <si>
    <t>mese 16</t>
  </si>
  <si>
    <t>TON/GG PER GIORNO LAVORATIVO</t>
  </si>
  <si>
    <t>DISTRIBUZIONE QUANTITA' (ton)</t>
  </si>
  <si>
    <t>PRODUZIONE MEDIA GIORNALERA (ton/gg)</t>
  </si>
  <si>
    <t xml:space="preserve">LOTTO 2 </t>
  </si>
  <si>
    <t>+ LOTTO OPZIONALE 25% IN MAGGIORAZIONE QUANTITA' LOTTO 1</t>
  </si>
  <si>
    <t>LOTTO 1 + OPZIONE EVENTUALE 25%</t>
  </si>
  <si>
    <t>TOTALE ton</t>
  </si>
  <si>
    <t>LOTTO 2 + OPZIONE EVENTUALE 25%</t>
  </si>
  <si>
    <t>PROGRAMMA DELLE FORNITURE (ton)</t>
  </si>
  <si>
    <t>Inizio consegne presso area di cantiere</t>
  </si>
  <si>
    <t>Inizio approvvigionamento in cava</t>
  </si>
  <si>
    <t>+LOTTO OPZIONALE 25% IN MAGGIORAZIONE QUANTITA' LOTTO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</si>
</sst>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410]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/>
    <xf numFmtId="0" fontId="0" fillId="0" borderId="0" xfId="0" applyFill="1" applyBorder="1"/>
    <xf numFmtId="164" fontId="0" fillId="0" borderId="0" xfId="1" applyNumberFormat="1" applyFont="1"/>
    <xf numFmtId="164" fontId="0" fillId="0" borderId="0" xfId="1" applyNumberFormat="1" applyFont="1" applyFill="1" applyBorder="1"/>
    <xf numFmtId="43" fontId="0" fillId="0" borderId="0" xfId="1" applyFont="1"/>
    <xf numFmtId="164" fontId="0" fillId="2" borderId="1" xfId="1" applyNumberFormat="1" applyFont="1" applyFill="1" applyBorder="1"/>
    <xf numFmtId="0" fontId="0" fillId="2" borderId="0" xfId="0" applyFill="1"/>
    <xf numFmtId="164" fontId="0" fillId="2" borderId="2" xfId="1" applyNumberFormat="1" applyFont="1" applyFill="1" applyBorder="1"/>
    <xf numFmtId="0" fontId="3" fillId="0" borderId="3" xfId="0" applyFont="1" applyFill="1" applyBorder="1" applyAlignment="1">
      <alignment horizontal="right"/>
    </xf>
    <xf numFmtId="0" fontId="0" fillId="0" borderId="8" xfId="0" applyBorder="1" applyAlignment="1">
      <alignment horizontal="right"/>
    </xf>
    <xf numFmtId="164" fontId="3" fillId="0" borderId="4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applyBorder="1"/>
    <xf numFmtId="164" fontId="0" fillId="2" borderId="12" xfId="1" applyNumberFormat="1" applyFont="1" applyFill="1" applyBorder="1"/>
    <xf numFmtId="164" fontId="0" fillId="2" borderId="13" xfId="1" applyNumberFormat="1" applyFont="1" applyFill="1" applyBorder="1"/>
    <xf numFmtId="164" fontId="2" fillId="0" borderId="14" xfId="0" applyNumberFormat="1" applyFont="1" applyBorder="1"/>
    <xf numFmtId="164" fontId="2" fillId="0" borderId="15" xfId="0" applyNumberFormat="1" applyFont="1" applyBorder="1"/>
    <xf numFmtId="164" fontId="2" fillId="0" borderId="0" xfId="0" applyNumberFormat="1" applyFont="1" applyBorder="1"/>
    <xf numFmtId="165" fontId="3" fillId="0" borderId="15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right"/>
    </xf>
    <xf numFmtId="164" fontId="2" fillId="2" borderId="0" xfId="0" applyNumberFormat="1" applyFont="1" applyFill="1" applyBorder="1"/>
    <xf numFmtId="43" fontId="0" fillId="0" borderId="0" xfId="1" applyFont="1" applyBorder="1"/>
    <xf numFmtId="164" fontId="0" fillId="2" borderId="16" xfId="1" applyNumberFormat="1" applyFont="1" applyFill="1" applyBorder="1"/>
    <xf numFmtId="164" fontId="0" fillId="2" borderId="6" xfId="1" applyNumberFormat="1" applyFont="1" applyFill="1" applyBorder="1"/>
    <xf numFmtId="164" fontId="2" fillId="2" borderId="8" xfId="0" applyNumberFormat="1" applyFont="1" applyFill="1" applyBorder="1" applyAlignment="1">
      <alignment horizontal="right"/>
    </xf>
    <xf numFmtId="164" fontId="2" fillId="2" borderId="9" xfId="0" applyNumberFormat="1" applyFont="1" applyFill="1" applyBorder="1"/>
    <xf numFmtId="0" fontId="2" fillId="2" borderId="8" xfId="0" applyFont="1" applyFill="1" applyBorder="1" applyAlignment="1">
      <alignment horizontal="right"/>
    </xf>
    <xf numFmtId="164" fontId="2" fillId="2" borderId="10" xfId="0" applyNumberFormat="1" applyFont="1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164" fontId="0" fillId="2" borderId="7" xfId="1" applyNumberFormat="1" applyFont="1" applyFill="1" applyBorder="1"/>
    <xf numFmtId="164" fontId="0" fillId="2" borderId="8" xfId="1" applyNumberFormat="1" applyFont="1" applyFill="1" applyBorder="1"/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0" fontId="2" fillId="2" borderId="11" xfId="0" applyFont="1" applyFill="1" applyBorder="1"/>
    <xf numFmtId="0" fontId="3" fillId="0" borderId="16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center"/>
    </xf>
    <xf numFmtId="164" fontId="2" fillId="0" borderId="5" xfId="0" applyNumberFormat="1" applyFont="1" applyBorder="1"/>
    <xf numFmtId="164" fontId="2" fillId="0" borderId="7" xfId="0" applyNumberFormat="1" applyFont="1" applyBorder="1"/>
    <xf numFmtId="164" fontId="2" fillId="0" borderId="10" xfId="0" applyNumberFormat="1" applyFont="1" applyBorder="1"/>
    <xf numFmtId="165" fontId="3" fillId="0" borderId="11" xfId="0" applyNumberFormat="1" applyFont="1" applyFill="1" applyBorder="1" applyAlignment="1">
      <alignment horizontal="center"/>
    </xf>
    <xf numFmtId="164" fontId="2" fillId="0" borderId="11" xfId="0" applyNumberFormat="1" applyFont="1" applyBorder="1"/>
    <xf numFmtId="165" fontId="3" fillId="0" borderId="11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64" fontId="0" fillId="0" borderId="0" xfId="1" quotePrefix="1" applyNumberFormat="1" applyFont="1" applyFill="1" applyBorder="1"/>
    <xf numFmtId="164" fontId="0" fillId="2" borderId="23" xfId="1" applyNumberFormat="1" applyFont="1" applyFill="1" applyBorder="1"/>
    <xf numFmtId="164" fontId="0" fillId="2" borderId="24" xfId="1" applyNumberFormat="1" applyFont="1" applyFill="1" applyBorder="1"/>
    <xf numFmtId="164" fontId="0" fillId="2" borderId="25" xfId="1" applyNumberFormat="1" applyFont="1" applyFill="1" applyBorder="1"/>
    <xf numFmtId="165" fontId="3" fillId="0" borderId="26" xfId="0" applyNumberFormat="1" applyFont="1" applyFill="1" applyBorder="1" applyAlignment="1">
      <alignment horizontal="center" wrapText="1"/>
    </xf>
    <xf numFmtId="165" fontId="3" fillId="0" borderId="20" xfId="0" applyNumberFormat="1" applyFont="1" applyFill="1" applyBorder="1" applyAlignment="1">
      <alignment horizontal="center"/>
    </xf>
    <xf numFmtId="164" fontId="2" fillId="0" borderId="27" xfId="0" applyNumberFormat="1" applyFont="1" applyBorder="1"/>
    <xf numFmtId="164" fontId="2" fillId="0" borderId="28" xfId="0" applyNumberFormat="1" applyFont="1" applyBorder="1"/>
    <xf numFmtId="164" fontId="0" fillId="0" borderId="0" xfId="0" applyNumberFormat="1"/>
    <xf numFmtId="0" fontId="4" fillId="0" borderId="0" xfId="0" applyFont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2567940</xdr:colOff>
      <xdr:row>4</xdr:row>
      <xdr:rowOff>15240</xdr:rowOff>
    </xdr:from>
    <xdr:to>
      <xdr:col>2</xdr:col>
      <xdr:colOff>167640</xdr:colOff>
      <xdr:row>5</xdr:row>
      <xdr:rowOff>190500</xdr:rowOff>
    </xdr:to>
    <xdr:sp macro="" textlink="">
      <xdr:nvSpPr>
        <xdr:cNvPr id="2" name="Freccia in gi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77540" y="990600"/>
          <a:ext cx="312420" cy="35814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472440</xdr:colOff>
      <xdr:row>4</xdr:row>
      <xdr:rowOff>15240</xdr:rowOff>
    </xdr:from>
    <xdr:to>
      <xdr:col>5</xdr:col>
      <xdr:colOff>175260</xdr:colOff>
      <xdr:row>5</xdr:row>
      <xdr:rowOff>198120</xdr:rowOff>
    </xdr:to>
    <xdr:sp macro="" textlink="">
      <xdr:nvSpPr>
        <xdr:cNvPr id="3" name="Freccia in gi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13960" y="990600"/>
          <a:ext cx="312420" cy="3657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548640</xdr:colOff>
      <xdr:row>5</xdr:row>
      <xdr:rowOff>182880</xdr:rowOff>
    </xdr:from>
    <xdr:to>
      <xdr:col>5</xdr:col>
      <xdr:colOff>60960</xdr:colOff>
      <xdr:row>12</xdr:row>
      <xdr:rowOff>60960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090160" y="792480"/>
          <a:ext cx="121920" cy="1287780"/>
        </a:xfrm>
        <a:prstGeom prst="rect">
          <a:avLst/>
        </a:prstGeom>
        <a:noFill/>
        <a:ln w="381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ln>
              <a:solidFill>
                <a:srgbClr val="FF0000"/>
              </a:solidFill>
            </a:ln>
            <a:noFill/>
          </a:endParaRPr>
        </a:p>
      </xdr:txBody>
    </xdr:sp>
    <xdr:clientData/>
  </xdr:twoCellAnchor>
  <xdr:twoCellAnchor>
    <xdr:from>
      <xdr:col>1</xdr:col>
      <xdr:colOff>2651760</xdr:colOff>
      <xdr:row>5</xdr:row>
      <xdr:rowOff>167640</xdr:rowOff>
    </xdr:from>
    <xdr:to>
      <xdr:col>2</xdr:col>
      <xdr:colOff>60960</xdr:colOff>
      <xdr:row>12</xdr:row>
      <xdr:rowOff>45720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61360" y="777240"/>
          <a:ext cx="121920" cy="1287780"/>
        </a:xfrm>
        <a:prstGeom prst="rect">
          <a:avLst/>
        </a:prstGeom>
        <a:noFill/>
        <a:ln w="381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ln>
              <a:solidFill>
                <a:srgbClr val="FF0000"/>
              </a:solidFill>
            </a:ln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6"/>
  <sheetViews>
    <sheetView tabSelected="1" workbookViewId="0"/>
  </sheetViews>
  <sheetFormatPr defaultRowHeight="14.4" x14ac:dyDescent="0.3"/>
  <cols>
    <col min="2" max="2" width="39.5546875" bestFit="1" customWidth="1"/>
  </cols>
  <sheetData>
    <row r="1" spans="1:23" s="1" customFormat="1" x14ac:dyDescent="0.3"/>
    <row r="2" spans="1:23" s="1" customFormat="1" ht="18" x14ac:dyDescent="0.35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23" ht="15" thickBot="1" x14ac:dyDescent="0.35"/>
    <row r="4" spans="1:23" ht="15" thickBot="1" x14ac:dyDescent="0.35">
      <c r="A4" s="1"/>
      <c r="B4" s="65" t="s">
        <v>33</v>
      </c>
      <c r="C4" s="66"/>
      <c r="E4" s="67" t="s">
        <v>32</v>
      </c>
      <c r="F4" s="68"/>
      <c r="G4" s="68"/>
      <c r="H4" s="6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3" s="1" customFormat="1" x14ac:dyDescent="0.3">
      <c r="B5" s="50"/>
      <c r="C5" s="50"/>
      <c r="E5" s="51"/>
      <c r="F5" s="51"/>
      <c r="G5" s="51"/>
      <c r="H5" s="51"/>
    </row>
    <row r="6" spans="1:23" ht="18.600000000000001" thickBot="1" x14ac:dyDescent="0.4">
      <c r="A6" s="15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15"/>
      <c r="T6" s="15"/>
      <c r="U6" s="15"/>
      <c r="V6" s="15"/>
      <c r="W6" s="15"/>
    </row>
    <row r="7" spans="1:23" s="1" customFormat="1" ht="18.600000000000001" thickBot="1" x14ac:dyDescent="0.4">
      <c r="A7" s="15"/>
      <c r="B7" s="62" t="s">
        <v>31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4"/>
      <c r="T7" s="15"/>
      <c r="U7" s="15"/>
      <c r="V7" s="15"/>
      <c r="W7" s="15"/>
    </row>
    <row r="8" spans="1:23" ht="15" thickBot="1" x14ac:dyDescent="0.35">
      <c r="A8" s="2"/>
      <c r="B8" s="41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12</v>
      </c>
      <c r="I8" s="42" t="s">
        <v>13</v>
      </c>
      <c r="J8" s="42" t="s">
        <v>14</v>
      </c>
      <c r="K8" s="42" t="s">
        <v>15</v>
      </c>
      <c r="L8" s="42" t="s">
        <v>16</v>
      </c>
      <c r="M8" s="42" t="s">
        <v>17</v>
      </c>
      <c r="N8" s="42" t="s">
        <v>18</v>
      </c>
      <c r="O8" s="42" t="s">
        <v>19</v>
      </c>
      <c r="P8" s="42" t="s">
        <v>20</v>
      </c>
      <c r="Q8" s="42" t="s">
        <v>21</v>
      </c>
      <c r="R8" s="43" t="s">
        <v>22</v>
      </c>
      <c r="S8" s="21" t="s">
        <v>6</v>
      </c>
      <c r="T8" s="15"/>
      <c r="U8" s="15"/>
      <c r="V8" s="15"/>
      <c r="W8" s="15"/>
    </row>
    <row r="9" spans="1:23" x14ac:dyDescent="0.3">
      <c r="A9" s="2"/>
      <c r="B9" s="25" t="s">
        <v>3</v>
      </c>
      <c r="C9" s="8"/>
      <c r="D9" s="8"/>
      <c r="E9" s="8"/>
      <c r="F9" s="8">
        <f>47470.725*1.2</f>
        <v>56964.869999999995</v>
      </c>
      <c r="G9" s="8">
        <f>43613.487*1.2</f>
        <v>52336.184399999998</v>
      </c>
      <c r="H9" s="8">
        <f>39918.186*1.2</f>
        <v>47901.823199999999</v>
      </c>
      <c r="I9" s="8">
        <f>46189.431*1.2</f>
        <v>55427.317199999998</v>
      </c>
      <c r="J9" s="8">
        <f>6421.464*1.2</f>
        <v>7705.7567999999992</v>
      </c>
      <c r="K9" s="8">
        <v>0</v>
      </c>
      <c r="L9" s="8">
        <v>0</v>
      </c>
      <c r="M9" s="8">
        <f>1947.429*1.2</f>
        <v>2336.9148</v>
      </c>
      <c r="N9" s="8">
        <f>19474.254*1.2</f>
        <v>23369.104800000001</v>
      </c>
      <c r="O9" s="8">
        <f>9737.127*1.2</f>
        <v>11684.5524</v>
      </c>
      <c r="P9" s="8">
        <f>11066.76*1.2</f>
        <v>13280.111999999999</v>
      </c>
      <c r="Q9" s="8">
        <f>18094.554*1.2</f>
        <v>21713.464799999998</v>
      </c>
      <c r="R9" s="16">
        <f>3150.396*1.2</f>
        <v>3780.4751999999999</v>
      </c>
      <c r="S9" s="18">
        <f>SUM(C9:R9)</f>
        <v>296500.57560000004</v>
      </c>
      <c r="T9" s="15"/>
      <c r="U9" s="15"/>
      <c r="V9" s="32"/>
      <c r="W9" s="15"/>
    </row>
    <row r="10" spans="1:23" x14ac:dyDescent="0.3">
      <c r="A10" s="2"/>
      <c r="B10" s="26" t="s">
        <v>4</v>
      </c>
      <c r="C10" s="6">
        <v>0</v>
      </c>
      <c r="D10" s="6">
        <v>0</v>
      </c>
      <c r="E10" s="6">
        <v>0</v>
      </c>
      <c r="F10" s="6">
        <v>0</v>
      </c>
      <c r="G10" s="6">
        <f>933.084*1.2</f>
        <v>1119.7007999999998</v>
      </c>
      <c r="H10" s="6">
        <v>0</v>
      </c>
      <c r="I10" s="6">
        <f>6824.979*1.2</f>
        <v>8189.9748</v>
      </c>
      <c r="J10" s="6">
        <f>10714.572*1.2</f>
        <v>12857.4864</v>
      </c>
      <c r="K10" s="6">
        <f>9883.665*1.2</f>
        <v>11860.398000000001</v>
      </c>
      <c r="L10" s="6"/>
      <c r="M10" s="6"/>
      <c r="N10" s="6"/>
      <c r="O10" s="6"/>
      <c r="P10" s="6"/>
      <c r="Q10" s="6"/>
      <c r="R10" s="17"/>
      <c r="S10" s="18">
        <f t="shared" ref="S10:S11" si="0">SUM(C10:R10)</f>
        <v>34027.56</v>
      </c>
      <c r="T10" s="15"/>
      <c r="U10" s="15"/>
      <c r="V10" s="32"/>
      <c r="W10" s="15"/>
    </row>
    <row r="11" spans="1:23" ht="15" thickBot="1" x14ac:dyDescent="0.35">
      <c r="A11" s="2"/>
      <c r="B11" s="26" t="s">
        <v>5</v>
      </c>
      <c r="C11" s="6">
        <v>0</v>
      </c>
      <c r="D11" s="6">
        <v>0</v>
      </c>
      <c r="E11" s="6">
        <v>0</v>
      </c>
      <c r="F11" s="6">
        <f>11872.17*1.2</f>
        <v>14246.603999999999</v>
      </c>
      <c r="G11" s="6">
        <f>40448.13*1.2</f>
        <v>48537.755999999994</v>
      </c>
      <c r="H11" s="6">
        <f>41728.23*1.2</f>
        <v>50073.876000000004</v>
      </c>
      <c r="I11" s="6">
        <f>29607.93*1.2</f>
        <v>35529.515999999996</v>
      </c>
      <c r="J11" s="6">
        <f>15644.85*1.2</f>
        <v>18773.82</v>
      </c>
      <c r="K11" s="6">
        <f>16734.73*1.2</f>
        <v>20081.675999999999</v>
      </c>
      <c r="L11" s="6">
        <f>16194.9*1.2</f>
        <v>19433.879999999997</v>
      </c>
      <c r="M11" s="6">
        <f>16734.73*1.2</f>
        <v>20081.675999999999</v>
      </c>
      <c r="N11" s="6">
        <f>16194.9*1.2</f>
        <v>19433.879999999997</v>
      </c>
      <c r="O11" s="6">
        <f>539.83*1.2</f>
        <v>647.79600000000005</v>
      </c>
      <c r="P11" s="6">
        <v>0</v>
      </c>
      <c r="Q11" s="6">
        <v>0</v>
      </c>
      <c r="R11" s="17">
        <v>0</v>
      </c>
      <c r="S11" s="19">
        <f t="shared" si="0"/>
        <v>246840.48000000004</v>
      </c>
      <c r="T11" s="15"/>
      <c r="U11" s="15"/>
      <c r="V11" s="32"/>
      <c r="W11" s="15"/>
    </row>
    <row r="12" spans="1:23" ht="15" thickBot="1" x14ac:dyDescent="0.35">
      <c r="A12" s="2"/>
      <c r="B12" s="27" t="s">
        <v>6</v>
      </c>
      <c r="C12" s="28"/>
      <c r="D12" s="28"/>
      <c r="E12" s="28"/>
      <c r="F12" s="28">
        <f>SUM(F9:F11)</f>
        <v>71211.473999999987</v>
      </c>
      <c r="G12" s="28">
        <f>SUM(G9:G11)</f>
        <v>101993.64119999998</v>
      </c>
      <c r="H12" s="28">
        <f>SUM(H9:H11)</f>
        <v>97975.699200000003</v>
      </c>
      <c r="I12" s="28">
        <f t="shared" ref="I12:R12" si="1">SUM(I9:I11)</f>
        <v>99146.80799999999</v>
      </c>
      <c r="J12" s="28">
        <f t="shared" si="1"/>
        <v>39337.063199999997</v>
      </c>
      <c r="K12" s="28">
        <f t="shared" si="1"/>
        <v>31942.074000000001</v>
      </c>
      <c r="L12" s="28">
        <f t="shared" si="1"/>
        <v>19433.879999999997</v>
      </c>
      <c r="M12" s="28">
        <f t="shared" si="1"/>
        <v>22418.590799999998</v>
      </c>
      <c r="N12" s="28">
        <f t="shared" si="1"/>
        <v>42802.984799999998</v>
      </c>
      <c r="O12" s="28">
        <f t="shared" si="1"/>
        <v>12332.348400000001</v>
      </c>
      <c r="P12" s="28">
        <f t="shared" si="1"/>
        <v>13280.111999999999</v>
      </c>
      <c r="Q12" s="28">
        <f t="shared" si="1"/>
        <v>21713.464799999998</v>
      </c>
      <c r="R12" s="28">
        <f t="shared" si="1"/>
        <v>3780.4751999999999</v>
      </c>
      <c r="S12" s="19">
        <f>SUM(C12:R12)</f>
        <v>577368.6155999999</v>
      </c>
      <c r="T12" s="15"/>
      <c r="U12" s="24"/>
      <c r="V12" s="15"/>
      <c r="W12" s="15"/>
    </row>
    <row r="13" spans="1:23" s="15" customFormat="1" ht="9" customHeight="1" thickBot="1" x14ac:dyDescent="0.35">
      <c r="A13" s="2"/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0"/>
      <c r="U13" s="24"/>
    </row>
    <row r="14" spans="1:23" s="1" customFormat="1" x14ac:dyDescent="0.3">
      <c r="B14" s="9" t="s">
        <v>1</v>
      </c>
      <c r="C14" s="11">
        <v>31</v>
      </c>
      <c r="D14" s="11">
        <v>31</v>
      </c>
      <c r="E14" s="11">
        <v>29</v>
      </c>
      <c r="F14" s="11">
        <v>31</v>
      </c>
      <c r="G14" s="11">
        <v>30</v>
      </c>
      <c r="H14" s="11">
        <v>31</v>
      </c>
      <c r="I14" s="11">
        <v>30</v>
      </c>
      <c r="J14" s="11">
        <v>31</v>
      </c>
      <c r="K14" s="11">
        <v>31</v>
      </c>
      <c r="L14" s="11">
        <v>30</v>
      </c>
      <c r="M14" s="11">
        <v>31</v>
      </c>
      <c r="N14" s="11">
        <v>30</v>
      </c>
      <c r="O14" s="11">
        <v>31</v>
      </c>
      <c r="P14" s="11">
        <v>31</v>
      </c>
      <c r="Q14" s="11">
        <v>28</v>
      </c>
      <c r="R14" s="12">
        <v>31</v>
      </c>
      <c r="S14" s="20"/>
      <c r="U14" s="5"/>
    </row>
    <row r="15" spans="1:23" s="1" customFormat="1" ht="15" thickBot="1" x14ac:dyDescent="0.35">
      <c r="B15" s="10" t="s">
        <v>2</v>
      </c>
      <c r="C15" s="13">
        <v>25.080747308423053</v>
      </c>
      <c r="D15" s="13">
        <v>25.080747308423053</v>
      </c>
      <c r="E15" s="13">
        <v>23.462634578847371</v>
      </c>
      <c r="F15" s="13">
        <v>25.080747308423053</v>
      </c>
      <c r="G15" s="13">
        <v>24.271690943635214</v>
      </c>
      <c r="H15" s="13">
        <v>25.080747308423053</v>
      </c>
      <c r="I15" s="13">
        <v>24.271690943635214</v>
      </c>
      <c r="J15" s="13">
        <v>25.080747308423053</v>
      </c>
      <c r="K15" s="13">
        <v>25.080747308423053</v>
      </c>
      <c r="L15" s="13">
        <v>24.271690943635214</v>
      </c>
      <c r="M15" s="13">
        <v>25.080747308423053</v>
      </c>
      <c r="N15" s="13">
        <v>24.271690943635214</v>
      </c>
      <c r="O15" s="13">
        <v>25.080747308423053</v>
      </c>
      <c r="P15" s="13">
        <v>25.080747308423053</v>
      </c>
      <c r="Q15" s="13">
        <v>22.653578214059532</v>
      </c>
      <c r="R15" s="14">
        <v>25.080747308423053</v>
      </c>
      <c r="S15" s="20"/>
      <c r="U15" s="5"/>
    </row>
    <row r="16" spans="1:23" ht="15" thickBot="1" x14ac:dyDescent="0.35">
      <c r="A16" s="2"/>
      <c r="B16" s="29" t="s">
        <v>23</v>
      </c>
      <c r="C16" s="28"/>
      <c r="D16" s="28"/>
      <c r="E16" s="28"/>
      <c r="F16" s="28">
        <f>F12/F15</f>
        <v>2839.2883642699321</v>
      </c>
      <c r="G16" s="28">
        <f t="shared" ref="G16:R16" si="2">G12/G15</f>
        <v>4202.1646302622303</v>
      </c>
      <c r="H16" s="28">
        <f t="shared" si="2"/>
        <v>3906.4106820731013</v>
      </c>
      <c r="I16" s="28">
        <f t="shared" si="2"/>
        <v>4084.8743596086097</v>
      </c>
      <c r="J16" s="28">
        <f t="shared" si="2"/>
        <v>1568.4167108844138</v>
      </c>
      <c r="K16" s="28">
        <f t="shared" si="2"/>
        <v>1273.5694677356228</v>
      </c>
      <c r="L16" s="28">
        <f t="shared" si="2"/>
        <v>800.68092681017595</v>
      </c>
      <c r="M16" s="28">
        <f t="shared" si="2"/>
        <v>893.85657150937436</v>
      </c>
      <c r="N16" s="28">
        <f t="shared" si="2"/>
        <v>1763.4941421839528</v>
      </c>
      <c r="O16" s="28">
        <f t="shared" si="2"/>
        <v>491.70577927151066</v>
      </c>
      <c r="P16" s="28">
        <f t="shared" si="2"/>
        <v>529.49427051322516</v>
      </c>
      <c r="Q16" s="28">
        <f t="shared" si="2"/>
        <v>958.50044504333232</v>
      </c>
      <c r="R16" s="30">
        <f t="shared" si="2"/>
        <v>150.73215935357615</v>
      </c>
      <c r="S16" s="1"/>
      <c r="T16" s="1"/>
      <c r="U16" s="1"/>
    </row>
    <row r="17" spans="1:21" ht="15" thickBot="1" x14ac:dyDescent="0.3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21" ht="15" thickBot="1" x14ac:dyDescent="0.35">
      <c r="A18" s="1"/>
      <c r="B18" s="40" t="s">
        <v>25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1"/>
      <c r="T18" s="1"/>
      <c r="U18" s="1"/>
    </row>
    <row r="19" spans="1:21" x14ac:dyDescent="0.3">
      <c r="A19" s="1"/>
      <c r="B19" s="33" t="s">
        <v>3</v>
      </c>
      <c r="C19" s="34"/>
      <c r="D19" s="34"/>
      <c r="E19" s="34"/>
      <c r="F19" s="34">
        <f>F9/F15</f>
        <v>2271.2588783536389</v>
      </c>
      <c r="G19" s="34">
        <v>1738.9229461018874</v>
      </c>
      <c r="H19" s="34">
        <v>1591.586786036235</v>
      </c>
      <c r="I19" s="34">
        <v>1841.6289766807649</v>
      </c>
      <c r="J19" s="34">
        <v>256.03160547945203</v>
      </c>
      <c r="K19" s="34">
        <v>0</v>
      </c>
      <c r="L19" s="34">
        <v>0</v>
      </c>
      <c r="M19" s="34">
        <v>77.646370582665241</v>
      </c>
      <c r="N19" s="34">
        <v>776.46227046272338</v>
      </c>
      <c r="O19" s="34">
        <v>388.23113523136169</v>
      </c>
      <c r="P19" s="34">
        <v>441.24522542768767</v>
      </c>
      <c r="Q19" s="34">
        <v>721.45194788207812</v>
      </c>
      <c r="R19" s="35">
        <v>125.6101327946468</v>
      </c>
      <c r="S19" s="1"/>
      <c r="T19" s="1"/>
      <c r="U19" s="1"/>
    </row>
    <row r="20" spans="1:21" x14ac:dyDescent="0.3">
      <c r="A20" s="1"/>
      <c r="B20" s="26" t="s">
        <v>4</v>
      </c>
      <c r="C20" s="6"/>
      <c r="D20" s="6"/>
      <c r="E20" s="6"/>
      <c r="F20" s="6">
        <v>0</v>
      </c>
      <c r="G20" s="6">
        <v>37.203197676914336</v>
      </c>
      <c r="H20" s="6">
        <v>0</v>
      </c>
      <c r="I20" s="6">
        <v>272.12024091913389</v>
      </c>
      <c r="J20" s="6">
        <v>427.20306010984154</v>
      </c>
      <c r="K20" s="6">
        <v>394.0737841045389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36">
        <v>0</v>
      </c>
      <c r="S20" s="1"/>
      <c r="T20" s="1"/>
      <c r="U20" s="1"/>
    </row>
    <row r="21" spans="1:21" ht="15" thickBot="1" x14ac:dyDescent="0.35">
      <c r="B21" s="37" t="s">
        <v>5</v>
      </c>
      <c r="C21" s="38"/>
      <c r="D21" s="38"/>
      <c r="E21" s="38"/>
      <c r="F21" s="38">
        <v>473.35790493024427</v>
      </c>
      <c r="G21" s="38">
        <v>1612.7162999810616</v>
      </c>
      <c r="H21" s="38">
        <v>1663.7554490246828</v>
      </c>
      <c r="I21" s="38">
        <v>1180.5042982134967</v>
      </c>
      <c r="J21" s="38">
        <v>623.77926014771799</v>
      </c>
      <c r="K21" s="38">
        <v>667.23410567514679</v>
      </c>
      <c r="L21" s="38">
        <v>645.71042484691623</v>
      </c>
      <c r="M21" s="38">
        <v>667.23410567514679</v>
      </c>
      <c r="N21" s="38">
        <v>645.71042484691623</v>
      </c>
      <c r="O21" s="38">
        <v>21.523680828230543</v>
      </c>
      <c r="P21" s="38">
        <v>0</v>
      </c>
      <c r="Q21" s="38">
        <v>0</v>
      </c>
      <c r="R21" s="39">
        <v>0</v>
      </c>
    </row>
    <row r="22" spans="1:21" x14ac:dyDescent="0.3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pans="1:21" s="1" customFormat="1" ht="15" customHeight="1" x14ac:dyDescent="0.3">
      <c r="B23" s="32" t="s">
        <v>27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1:21" s="1" customFormat="1" ht="15" thickBot="1" x14ac:dyDescent="0.3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1:21" ht="36.75" customHeight="1" thickBot="1" x14ac:dyDescent="0.35">
      <c r="B25" s="57" t="s">
        <v>28</v>
      </c>
      <c r="C25" s="56" t="s">
        <v>29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"/>
    </row>
    <row r="26" spans="1:21" x14ac:dyDescent="0.3">
      <c r="B26" s="53" t="s">
        <v>3</v>
      </c>
      <c r="C26" s="58">
        <f>S9*1.25</f>
        <v>370625.71950000006</v>
      </c>
      <c r="D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"/>
    </row>
    <row r="27" spans="1:21" x14ac:dyDescent="0.3">
      <c r="B27" s="54" t="s">
        <v>4</v>
      </c>
      <c r="C27" s="58">
        <f>S10*1.25</f>
        <v>42534.45</v>
      </c>
      <c r="D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"/>
      <c r="S27" s="20"/>
      <c r="U27" s="15"/>
    </row>
    <row r="28" spans="1:21" ht="15" thickBot="1" x14ac:dyDescent="0.35">
      <c r="B28" s="55" t="s">
        <v>5</v>
      </c>
      <c r="C28" s="58">
        <f>S11*1.25</f>
        <v>308550.60000000003</v>
      </c>
      <c r="D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"/>
    </row>
    <row r="29" spans="1:21" ht="15" thickBot="1" x14ac:dyDescent="0.35">
      <c r="B29" s="4"/>
      <c r="C29" s="59">
        <f>C26+C27+C28</f>
        <v>721710.76950000017</v>
      </c>
      <c r="D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"/>
    </row>
    <row r="30" spans="1:21" x14ac:dyDescent="0.3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1"/>
    </row>
    <row r="31" spans="1:21" x14ac:dyDescent="0.3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"/>
    </row>
    <row r="32" spans="1:21" x14ac:dyDescent="0.3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"/>
    </row>
    <row r="33" spans="2:18" x14ac:dyDescent="0.3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1"/>
    </row>
    <row r="34" spans="2:18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"/>
    </row>
    <row r="35" spans="2:18" x14ac:dyDescent="0.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1"/>
    </row>
    <row r="36" spans="2:18" x14ac:dyDescent="0.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1"/>
    </row>
    <row r="37" spans="2:18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8" x14ac:dyDescent="0.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8" x14ac:dyDescent="0.3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2:18" x14ac:dyDescent="0.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2:18" x14ac:dyDescent="0.3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2:18" x14ac:dyDescent="0.3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2:18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2:18" x14ac:dyDescent="0.3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2:18" x14ac:dyDescent="0.3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2:18" x14ac:dyDescent="0.3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2:18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2:18" x14ac:dyDescent="0.3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2:17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2:17" x14ac:dyDescent="0.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2:17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2:17" x14ac:dyDescent="0.3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2:17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2:17" x14ac:dyDescent="0.3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</sheetData>
  <mergeCells count="5">
    <mergeCell ref="B2:R2"/>
    <mergeCell ref="B6:R6"/>
    <mergeCell ref="B7:S7"/>
    <mergeCell ref="B4:C4"/>
    <mergeCell ref="E4:H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54"/>
  <sheetViews>
    <sheetView workbookViewId="0"/>
  </sheetViews>
  <sheetFormatPr defaultColWidth="9.109375" defaultRowHeight="14.4" x14ac:dyDescent="0.3"/>
  <cols>
    <col min="1" max="1" width="9.109375" style="1"/>
    <col min="2" max="2" width="39.5546875" style="1" bestFit="1" customWidth="1"/>
    <col min="3" max="4" width="9.109375" style="1"/>
    <col min="5" max="5" width="10.5546875" style="1" bestFit="1" customWidth="1"/>
    <col min="6" max="16384" width="9.109375" style="1"/>
  </cols>
  <sheetData>
    <row r="2" spans="1:23" x14ac:dyDescent="0.3">
      <c r="C2" s="3"/>
    </row>
    <row r="3" spans="1:23" ht="18" x14ac:dyDescent="0.35">
      <c r="B3" s="61" t="s">
        <v>26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23" ht="18.600000000000001" thickBot="1" x14ac:dyDescent="0.4">
      <c r="A4" s="1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15"/>
      <c r="T4" s="15"/>
      <c r="U4" s="15"/>
      <c r="V4" s="15"/>
      <c r="W4" s="15"/>
    </row>
    <row r="5" spans="1:23" ht="18.600000000000001" thickBot="1" x14ac:dyDescent="0.4">
      <c r="A5" s="15"/>
      <c r="B5" s="62" t="s">
        <v>24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15"/>
      <c r="U5" s="15"/>
      <c r="V5" s="15"/>
      <c r="W5" s="15"/>
    </row>
    <row r="6" spans="1:23" ht="15" thickBot="1" x14ac:dyDescent="0.35">
      <c r="A6" s="2"/>
      <c r="B6" s="41"/>
      <c r="C6" s="42" t="s">
        <v>7</v>
      </c>
      <c r="D6" s="42" t="s">
        <v>8</v>
      </c>
      <c r="E6" s="42" t="s">
        <v>9</v>
      </c>
      <c r="F6" s="42" t="s">
        <v>10</v>
      </c>
      <c r="G6" s="42" t="s">
        <v>11</v>
      </c>
      <c r="H6" s="42" t="s">
        <v>12</v>
      </c>
      <c r="I6" s="42" t="s">
        <v>13</v>
      </c>
      <c r="J6" s="42" t="s">
        <v>14</v>
      </c>
      <c r="K6" s="42" t="s">
        <v>15</v>
      </c>
      <c r="L6" s="42" t="s">
        <v>16</v>
      </c>
      <c r="M6" s="42" t="s">
        <v>17</v>
      </c>
      <c r="N6" s="42" t="s">
        <v>18</v>
      </c>
      <c r="O6" s="42" t="s">
        <v>19</v>
      </c>
      <c r="P6" s="42" t="s">
        <v>20</v>
      </c>
      <c r="Q6" s="42" t="s">
        <v>21</v>
      </c>
      <c r="R6" s="43" t="s">
        <v>22</v>
      </c>
      <c r="S6" s="21" t="s">
        <v>6</v>
      </c>
      <c r="T6" s="15"/>
      <c r="U6" s="15"/>
      <c r="V6" s="15"/>
      <c r="W6" s="15"/>
    </row>
    <row r="7" spans="1:23" x14ac:dyDescent="0.3">
      <c r="A7" s="2"/>
      <c r="B7" s="25" t="s">
        <v>3</v>
      </c>
      <c r="C7" s="8"/>
      <c r="D7" s="8"/>
      <c r="E7" s="8"/>
      <c r="F7" s="8">
        <f>47470.725*0.8</f>
        <v>37976.58</v>
      </c>
      <c r="G7" s="8">
        <f>43613.487*0.8</f>
        <v>34890.789600000004</v>
      </c>
      <c r="H7" s="8">
        <f>39918.186*0.8</f>
        <v>31934.548800000004</v>
      </c>
      <c r="I7" s="8">
        <f>46189.431*0.8</f>
        <v>36951.544799999996</v>
      </c>
      <c r="J7" s="8">
        <f>6421.464*0.8</f>
        <v>5137.1712000000007</v>
      </c>
      <c r="K7" s="8">
        <v>0</v>
      </c>
      <c r="L7" s="8">
        <v>0</v>
      </c>
      <c r="M7" s="8">
        <f>1947.429*0.8</f>
        <v>1557.9432000000002</v>
      </c>
      <c r="N7" s="8">
        <f>19474.254*0.8</f>
        <v>15579.403200000001</v>
      </c>
      <c r="O7" s="8">
        <f>9737.127*0.8</f>
        <v>7789.7016000000003</v>
      </c>
      <c r="P7" s="8">
        <f>11066.76*0.8</f>
        <v>8853.4080000000013</v>
      </c>
      <c r="Q7" s="8">
        <f>18094.554*0.8</f>
        <v>14475.6432</v>
      </c>
      <c r="R7" s="16">
        <f>3150.396*0.8</f>
        <v>2520.3168000000005</v>
      </c>
      <c r="S7" s="18">
        <f>SUM(C7:R7)</f>
        <v>197667.05040000001</v>
      </c>
      <c r="T7" s="15"/>
      <c r="U7" s="15"/>
      <c r="V7" s="32"/>
      <c r="W7" s="15"/>
    </row>
    <row r="8" spans="1:23" x14ac:dyDescent="0.3">
      <c r="A8" s="2"/>
      <c r="B8" s="26" t="s">
        <v>4</v>
      </c>
      <c r="C8" s="6">
        <v>0</v>
      </c>
      <c r="D8" s="6">
        <v>0</v>
      </c>
      <c r="E8" s="6">
        <v>0</v>
      </c>
      <c r="F8" s="6">
        <v>0</v>
      </c>
      <c r="G8" s="6">
        <f>933.084*0.8</f>
        <v>746.46720000000005</v>
      </c>
      <c r="H8" s="6">
        <v>0</v>
      </c>
      <c r="I8" s="6">
        <f>0.8*6824.979</f>
        <v>5459.9832000000006</v>
      </c>
      <c r="J8" s="6">
        <f>0.8*10714.572</f>
        <v>8571.6576000000005</v>
      </c>
      <c r="K8" s="6">
        <f>0.8*9883.665</f>
        <v>7906.9320000000007</v>
      </c>
      <c r="L8" s="6"/>
      <c r="M8" s="6"/>
      <c r="N8" s="6"/>
      <c r="O8" s="6"/>
      <c r="P8" s="6"/>
      <c r="Q8" s="6"/>
      <c r="R8" s="17"/>
      <c r="S8" s="18">
        <f t="shared" ref="S8:S9" si="0">SUM(C8:R8)</f>
        <v>22685.040000000001</v>
      </c>
      <c r="T8" s="15"/>
      <c r="U8" s="15"/>
      <c r="V8" s="32"/>
      <c r="W8" s="15"/>
    </row>
    <row r="9" spans="1:23" ht="15" thickBot="1" x14ac:dyDescent="0.35">
      <c r="A9" s="2"/>
      <c r="B9" s="26" t="s">
        <v>5</v>
      </c>
      <c r="C9" s="6">
        <v>0</v>
      </c>
      <c r="D9" s="6">
        <v>0</v>
      </c>
      <c r="E9" s="6">
        <v>0</v>
      </c>
      <c r="F9" s="6">
        <f>0.8*11872.17</f>
        <v>9497.7360000000008</v>
      </c>
      <c r="G9" s="6">
        <f>0.8*40448.13</f>
        <v>32358.504000000001</v>
      </c>
      <c r="H9" s="6">
        <f>0.8*41728.23</f>
        <v>33382.584000000003</v>
      </c>
      <c r="I9" s="6">
        <f>0.8*29607.93</f>
        <v>23686.344000000001</v>
      </c>
      <c r="J9" s="6">
        <f>0.8*15644.85</f>
        <v>12515.880000000001</v>
      </c>
      <c r="K9" s="6">
        <f>0.8*16734.73</f>
        <v>13387.784</v>
      </c>
      <c r="L9" s="6">
        <f>0.8*16194.9</f>
        <v>12955.92</v>
      </c>
      <c r="M9" s="6">
        <f>0.8*16734.73</f>
        <v>13387.784</v>
      </c>
      <c r="N9" s="6">
        <f>0.8*16194.9</f>
        <v>12955.92</v>
      </c>
      <c r="O9" s="6">
        <f>0.8*539.83</f>
        <v>431.86400000000003</v>
      </c>
      <c r="P9" s="6">
        <v>0</v>
      </c>
      <c r="Q9" s="6">
        <v>0</v>
      </c>
      <c r="R9" s="17">
        <v>0</v>
      </c>
      <c r="S9" s="19">
        <f t="shared" si="0"/>
        <v>164560.32000000004</v>
      </c>
      <c r="T9" s="15"/>
      <c r="U9" s="15"/>
      <c r="V9" s="32"/>
      <c r="W9" s="15"/>
    </row>
    <row r="10" spans="1:23" ht="15" thickBot="1" x14ac:dyDescent="0.35">
      <c r="A10" s="2"/>
      <c r="B10" s="27" t="s">
        <v>6</v>
      </c>
      <c r="C10" s="28"/>
      <c r="D10" s="28"/>
      <c r="E10" s="28"/>
      <c r="F10" s="28">
        <f>SUM(F7:F9)</f>
        <v>47474.316000000006</v>
      </c>
      <c r="G10" s="28">
        <f t="shared" ref="G10:R10" si="1">SUM(G7:G9)</f>
        <v>67995.760800000004</v>
      </c>
      <c r="H10" s="28">
        <f>SUM(H7:H9)</f>
        <v>65317.132800000007</v>
      </c>
      <c r="I10" s="28">
        <f t="shared" si="1"/>
        <v>66097.872000000003</v>
      </c>
      <c r="J10" s="28">
        <f t="shared" si="1"/>
        <v>26224.7088</v>
      </c>
      <c r="K10" s="28">
        <f t="shared" si="1"/>
        <v>21294.716</v>
      </c>
      <c r="L10" s="28">
        <f t="shared" si="1"/>
        <v>12955.92</v>
      </c>
      <c r="M10" s="28">
        <f t="shared" si="1"/>
        <v>14945.727199999999</v>
      </c>
      <c r="N10" s="28">
        <f t="shared" si="1"/>
        <v>28535.323199999999</v>
      </c>
      <c r="O10" s="28">
        <f t="shared" si="1"/>
        <v>8221.5655999999999</v>
      </c>
      <c r="P10" s="28">
        <f t="shared" si="1"/>
        <v>8853.4080000000013</v>
      </c>
      <c r="Q10" s="28">
        <f t="shared" si="1"/>
        <v>14475.6432</v>
      </c>
      <c r="R10" s="28">
        <f t="shared" si="1"/>
        <v>2520.3168000000005</v>
      </c>
      <c r="S10" s="19">
        <f>SUM(C10:R10)</f>
        <v>384912.41039999994</v>
      </c>
      <c r="T10" s="15"/>
      <c r="U10" s="24"/>
      <c r="V10" s="15"/>
      <c r="W10" s="15"/>
    </row>
    <row r="11" spans="1:23" s="15" customFormat="1" ht="9" customHeight="1" thickBot="1" x14ac:dyDescent="0.35">
      <c r="A11" s="2"/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0"/>
      <c r="U11" s="24"/>
    </row>
    <row r="12" spans="1:23" x14ac:dyDescent="0.3">
      <c r="B12" s="9" t="s">
        <v>1</v>
      </c>
      <c r="C12" s="11">
        <v>31</v>
      </c>
      <c r="D12" s="11">
        <v>31</v>
      </c>
      <c r="E12" s="11">
        <v>29</v>
      </c>
      <c r="F12" s="11">
        <v>31</v>
      </c>
      <c r="G12" s="11">
        <v>30</v>
      </c>
      <c r="H12" s="11">
        <v>31</v>
      </c>
      <c r="I12" s="11">
        <v>30</v>
      </c>
      <c r="J12" s="11">
        <v>31</v>
      </c>
      <c r="K12" s="11">
        <v>31</v>
      </c>
      <c r="L12" s="11">
        <v>30</v>
      </c>
      <c r="M12" s="11">
        <v>31</v>
      </c>
      <c r="N12" s="11">
        <v>30</v>
      </c>
      <c r="O12" s="11">
        <v>31</v>
      </c>
      <c r="P12" s="11">
        <v>31</v>
      </c>
      <c r="Q12" s="11">
        <v>28</v>
      </c>
      <c r="R12" s="12">
        <v>31</v>
      </c>
      <c r="S12" s="20"/>
      <c r="U12" s="5"/>
    </row>
    <row r="13" spans="1:23" ht="15" thickBot="1" x14ac:dyDescent="0.35">
      <c r="B13" s="10" t="s">
        <v>2</v>
      </c>
      <c r="C13" s="13">
        <v>25.080747308423053</v>
      </c>
      <c r="D13" s="13">
        <v>25.080747308423053</v>
      </c>
      <c r="E13" s="13">
        <v>23.462634578847371</v>
      </c>
      <c r="F13" s="13">
        <v>25.080747308423053</v>
      </c>
      <c r="G13" s="13">
        <v>24.271690943635214</v>
      </c>
      <c r="H13" s="13">
        <v>25.080747308423053</v>
      </c>
      <c r="I13" s="13">
        <v>24.271690943635214</v>
      </c>
      <c r="J13" s="13">
        <v>25.080747308423053</v>
      </c>
      <c r="K13" s="13">
        <v>25.080747308423053</v>
      </c>
      <c r="L13" s="13">
        <v>24.271690943635214</v>
      </c>
      <c r="M13" s="13">
        <v>25.080747308423053</v>
      </c>
      <c r="N13" s="13">
        <v>24.271690943635214</v>
      </c>
      <c r="O13" s="13">
        <v>25.080747308423053</v>
      </c>
      <c r="P13" s="13">
        <v>25.080747308423053</v>
      </c>
      <c r="Q13" s="13">
        <v>22.653578214059532</v>
      </c>
      <c r="R13" s="14">
        <v>25.080747308423053</v>
      </c>
      <c r="S13" s="20"/>
      <c r="U13" s="5"/>
    </row>
    <row r="14" spans="1:23" ht="15" thickBot="1" x14ac:dyDescent="0.35">
      <c r="A14" s="2"/>
      <c r="B14" s="29" t="s">
        <v>23</v>
      </c>
      <c r="C14" s="28"/>
      <c r="D14" s="28"/>
      <c r="E14" s="28"/>
      <c r="F14" s="28">
        <f t="shared" ref="F14:R14" si="2">F10/F13</f>
        <v>1892.8589095132886</v>
      </c>
      <c r="G14" s="28">
        <f t="shared" si="2"/>
        <v>2801.443086841487</v>
      </c>
      <c r="H14" s="28">
        <f t="shared" si="2"/>
        <v>2604.2737880487343</v>
      </c>
      <c r="I14" s="28">
        <f t="shared" si="2"/>
        <v>2723.2495730724067</v>
      </c>
      <c r="J14" s="28">
        <f t="shared" si="2"/>
        <v>1045.6111405896092</v>
      </c>
      <c r="K14" s="28">
        <f t="shared" si="2"/>
        <v>849.04631182374851</v>
      </c>
      <c r="L14" s="28">
        <f t="shared" si="2"/>
        <v>533.78728454011741</v>
      </c>
      <c r="M14" s="28">
        <f t="shared" si="2"/>
        <v>595.90438100624954</v>
      </c>
      <c r="N14" s="28">
        <f t="shared" si="2"/>
        <v>1175.6627614559686</v>
      </c>
      <c r="O14" s="28">
        <f t="shared" si="2"/>
        <v>327.80385284767374</v>
      </c>
      <c r="P14" s="28">
        <f t="shared" si="2"/>
        <v>352.99618034215018</v>
      </c>
      <c r="Q14" s="28">
        <f t="shared" si="2"/>
        <v>639.00029669555488</v>
      </c>
      <c r="R14" s="30">
        <f t="shared" si="2"/>
        <v>100.48810623571747</v>
      </c>
    </row>
    <row r="15" spans="1:23" ht="15" thickBot="1" x14ac:dyDescent="0.3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23" ht="15" thickBot="1" x14ac:dyDescent="0.35">
      <c r="B16" s="40" t="s">
        <v>25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2:21" x14ac:dyDescent="0.3">
      <c r="B17" s="33" t="s">
        <v>3</v>
      </c>
      <c r="C17" s="34"/>
      <c r="D17" s="34"/>
      <c r="E17" s="34"/>
      <c r="F17" s="34">
        <f>F7/F13</f>
        <v>1514.1725855690929</v>
      </c>
      <c r="G17" s="34">
        <v>1738.9229461018874</v>
      </c>
      <c r="H17" s="34">
        <v>1591.586786036235</v>
      </c>
      <c r="I17" s="34">
        <v>1841.6289766807649</v>
      </c>
      <c r="J17" s="34">
        <v>256.03160547945203</v>
      </c>
      <c r="K17" s="34">
        <v>0</v>
      </c>
      <c r="L17" s="34">
        <v>0</v>
      </c>
      <c r="M17" s="34">
        <v>77.646370582665241</v>
      </c>
      <c r="N17" s="34">
        <v>776.46227046272338</v>
      </c>
      <c r="O17" s="34">
        <v>388.23113523136169</v>
      </c>
      <c r="P17" s="34">
        <v>441.24522542768767</v>
      </c>
      <c r="Q17" s="34">
        <v>721.45194788207812</v>
      </c>
      <c r="R17" s="35">
        <v>125.6101327946468</v>
      </c>
    </row>
    <row r="18" spans="2:21" x14ac:dyDescent="0.3">
      <c r="B18" s="26" t="s">
        <v>4</v>
      </c>
      <c r="C18" s="6"/>
      <c r="D18" s="6"/>
      <c r="E18" s="6"/>
      <c r="F18" s="6">
        <v>0</v>
      </c>
      <c r="G18" s="6">
        <v>37.203197676914336</v>
      </c>
      <c r="H18" s="6">
        <v>0</v>
      </c>
      <c r="I18" s="6">
        <v>272.12024091913389</v>
      </c>
      <c r="J18" s="6">
        <v>427.20306010984154</v>
      </c>
      <c r="K18" s="6">
        <v>394.0737841045389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36">
        <v>0</v>
      </c>
    </row>
    <row r="19" spans="2:21" ht="15" thickBot="1" x14ac:dyDescent="0.35">
      <c r="B19" s="37" t="s">
        <v>5</v>
      </c>
      <c r="C19" s="38"/>
      <c r="D19" s="38"/>
      <c r="E19" s="38"/>
      <c r="F19" s="38">
        <v>473.35790493024427</v>
      </c>
      <c r="G19" s="38">
        <v>1612.7162999810616</v>
      </c>
      <c r="H19" s="38">
        <v>1663.7554490246828</v>
      </c>
      <c r="I19" s="38">
        <v>1180.5042982134967</v>
      </c>
      <c r="J19" s="38">
        <v>623.77926014771799</v>
      </c>
      <c r="K19" s="38">
        <v>667.23410567514679</v>
      </c>
      <c r="L19" s="38">
        <v>645.71042484691623</v>
      </c>
      <c r="M19" s="38">
        <v>667.23410567514679</v>
      </c>
      <c r="N19" s="38">
        <v>645.71042484691623</v>
      </c>
      <c r="O19" s="38">
        <v>21.523680828230543</v>
      </c>
      <c r="P19" s="38">
        <v>0</v>
      </c>
      <c r="Q19" s="38">
        <v>0</v>
      </c>
      <c r="R19" s="39">
        <v>0</v>
      </c>
    </row>
    <row r="20" spans="2:21" x14ac:dyDescent="0.3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2:21" ht="15" customHeight="1" x14ac:dyDescent="0.3">
      <c r="B21" s="52" t="s">
        <v>34</v>
      </c>
      <c r="C21" s="4"/>
      <c r="D21" s="4"/>
      <c r="E21" s="4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pans="2:21" ht="15" thickBot="1" x14ac:dyDescent="0.3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pans="2:21" ht="36.75" customHeight="1" thickBot="1" x14ac:dyDescent="0.35">
      <c r="B23" s="47" t="s">
        <v>30</v>
      </c>
      <c r="C23" s="49" t="s">
        <v>29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21" x14ac:dyDescent="0.3">
      <c r="B24" s="25" t="s">
        <v>3</v>
      </c>
      <c r="C24" s="44">
        <f>S7*1.25</f>
        <v>247083.81300000002</v>
      </c>
      <c r="D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21" x14ac:dyDescent="0.3">
      <c r="B25" s="26" t="s">
        <v>4</v>
      </c>
      <c r="C25" s="45">
        <f>S8*1.25</f>
        <v>28356.300000000003</v>
      </c>
      <c r="D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S25" s="20"/>
      <c r="U25" s="15"/>
    </row>
    <row r="26" spans="2:21" ht="15" thickBot="1" x14ac:dyDescent="0.35">
      <c r="B26" s="37" t="s">
        <v>5</v>
      </c>
      <c r="C26" s="46">
        <f>S9*1.25</f>
        <v>205700.40000000005</v>
      </c>
      <c r="D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2:21" ht="15" thickBot="1" x14ac:dyDescent="0.35">
      <c r="B27" s="4"/>
      <c r="C27" s="48">
        <f>C24+C25+C26</f>
        <v>481140.51300000004</v>
      </c>
      <c r="D27" s="4"/>
      <c r="E27" s="60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2:21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2:21" x14ac:dyDescent="0.3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21" x14ac:dyDescent="0.3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21" x14ac:dyDescent="0.3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21" x14ac:dyDescent="0.3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x14ac:dyDescent="0.3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x14ac:dyDescent="0.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x14ac:dyDescent="0.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x14ac:dyDescent="0.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x14ac:dyDescent="0.3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2:17" x14ac:dyDescent="0.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2:17" x14ac:dyDescent="0.3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2:17" x14ac:dyDescent="0.3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2:17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2:17" x14ac:dyDescent="0.3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2:17" x14ac:dyDescent="0.3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2:17" x14ac:dyDescent="0.3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2:17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2:17" x14ac:dyDescent="0.3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2:17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2:17" x14ac:dyDescent="0.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2:17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2:17" x14ac:dyDescent="0.3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</sheetData>
  <mergeCells count="3">
    <mergeCell ref="B3:R3"/>
    <mergeCell ref="B4:R4"/>
    <mergeCell ref="B5:S5"/>
  </mergeCells>
  <pageMargins left="0.7" right="0.7" top="0.75" bottom="0.75" header="0.3" footer="0.3"/>
  <pageSetup paperSize="9" orientation="portrait" verticalDpi="0" r:id="rId1"/>
  <ignoredErrors>
    <ignoredError sqref="L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LOTTO1</vt:lpstr>
      <vt:lpstr>LOTTO2</vt:lpstr>
      <vt:lpstr>Foglio3</vt:lpstr>
    </vt:vector>
  </TitlesOfParts>
  <Company>Autostrade // Per L'Italia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Merlo, Calogero</dc:creator>
  <cp:lastModifiedBy>Scorsonelli, Riccardo</cp:lastModifiedBy>
  <dcterms:created xsi:type="dcterms:W3CDTF">2018-03-13T11:24:24Z</dcterms:created>
  <dcterms:modified xsi:type="dcterms:W3CDTF">2018-06-22T12:54:37Z</dcterms:modified>
</cp:coreProperties>
</file>